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<sst xmlns="http://schemas.openxmlformats.org/spreadsheetml/2006/main" count="1423" uniqueCount="256">
  <si>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</si>
  <si>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</si>
  <si>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</si>
  <si>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</si>
  <si>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</si>
  <si>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</si>
  <si>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</si>
  <si>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</si>
  <si>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</si>
  <si>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</si>
  <si>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</si>
  <si>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</si>
  <si>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</si>
  <si>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</si>
  <si>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</si>
  <si>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</si>
  <si>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</si>
  <si>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</si>
  <si>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</si>
  <si>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</si>
  <si>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</si>
  <si>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</si>
  <si>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</si>
  <si>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</si>
  <si>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</si>
  <si>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</si>
  <si>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</si>
  <si>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</si>
  <si>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</si>
  <si>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</si>
  <si>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</si>
  <si>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</si>
  <si>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</si>
  <si>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</si>
  <si>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</si>
  <si>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</si>
  <si>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</si>
  <si>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</si>
  <si>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</si>
  <si>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</si>
  <si>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</si>
  <si>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</si>
  <si>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</si>
  <si>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</si>
  <si>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</si>
  <si>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</si>
  <si>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</si>
  <si>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</si>
  <si>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</si>
  <si>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</si>
  <si>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</si>
  <si>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</si>
  <si>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</si>
  <si>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</si>
  <si>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</si>
  <si>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</si>
  <si>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</si>
  <si>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</si>
  <si>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</si>
  <si>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</si>
  <si>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</si>
  <si>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</si>
  <si>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</si>
  <si>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</si>
  <si>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</si>
  <si>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</si>
  <si>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</si>
  <si>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</si>
  <si>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</si>
  <si>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</si>
  <si>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</si>
  <si>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</si>
  <si>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</si>
  <si>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</si>
  <si>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</si>
  <si>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</si>
  <si>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</si>
  <si>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</si>
  <si>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</si>
  <si>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</si>
  <si>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</si>
  <si>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</si>
  <si>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</si>
  <si>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</si>
  <si>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</si>
  <si>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</si>
  <si>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</si>
  <si>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</si>
  <si>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</si>
  <si>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</si>
  <si>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</si>
  <si>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</si>
  <si>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</si>
  <si>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</si>
  <si>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</si>
  <si>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</si>
  <si>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</si>
  <si>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</si>
  <si>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</si>
  <si>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</si>
  <si>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</si>
  <si>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</si>
  <si>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</si>
  <si>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</si>
  <si>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</si>
  <si>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</si>
  <si>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</si>
  <si>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</si>
  <si>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</si>
  <si>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</si>
  <si>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</si>
  <si>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</si>
  <si>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</si>
  <si>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</si>
  <si>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</si>
  <si>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</si>
  <si>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</si>
  <si>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</si>
  <si>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</si>
  <si>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</si>
  <si>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</si>
  <si>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</si>
  <si>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</si>
  <si>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</si>
  <si>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</si>
  <si>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</si>
  <si>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</si>
  <si>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</si>
  <si>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</si>
  <si>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</si>
  <si>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</si>
  <si>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</si>
  <si>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</si>
  <si>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</si>
  <si>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</si>
  <si>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</si>
  <si>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</si>
  <si>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</si>
  <si>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</si>
  <si>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</si>
  <si>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</si>
  <si>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</si>
  <si>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</si>
  <si>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</si>
  <si>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</si>
  <si>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</si>
  <si>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</si>
  <si>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</si>
  <si>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</si>
  <si>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</si>
  <si>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</si>
  <si>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</si>
  <si>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</si>
  <si>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</si>
  <si>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</si>
  <si>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</si>
  <si>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</si>
  <si>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</si>
  <si>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</si>
  <si>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</si>
  <si>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</si>
  <si>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</si>
  <si>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</si>
  <si>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</si>
  <si>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</si>
  <si>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</si>
  <si>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</si>
  <si>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</si>
  <si>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</si>
  <si>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</si>
  <si>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</si>
  <si>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</si>
  <si>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</si>
  <si>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</si>
  <si>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</si>
  <si>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</si>
  <si>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</si>
  <si>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</si>
  <si>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</si>
  <si>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</si>
  <si>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</si>
  <si>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</si>
  <si>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</si>
  <si>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</si>
  <si>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</si>
  <si>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</si>
  <si>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</si>
  <si>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</si>
  <si>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</si>
  <si>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</si>
  <si>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</si>
  <si>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</si>
  <si>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</si>
  <si>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</si>
  <si>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</si>
  <si>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</si>
  <si>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</si>
  <si>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</si>
  <si>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</si>
  <si>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</si>
  <si>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</si>
  <si>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</si>
  <si>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</si>
  <si>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</si>
  <si>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</si>
  <si>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</si>
  <si>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</si>
  <si>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</si>
  <si>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</si>
  <si>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</si>
  <si>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</si>
  <si>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</si>
  <si>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</si>
  <si>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</si>
  <si>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</si>
  <si>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</si>
  <si>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</si>
  <si>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</si>
  <si>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</si>
  <si>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</si>
  <si>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</si>
  <si>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</si>
  <si>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</si>
  <si>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</si>
  <si>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</si>
  <si>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</si>
  <si>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</si>
  <si>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</si>
  <si>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</si>
  <si>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</si>
  <si>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</si>
  <si>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</si>
  <si>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</si>
  <si>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</si>
  <si>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</si>
  <si>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</si>
  <si>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</si>
  <si>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</si>
  <si>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</si>
  <si>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</si>
  <si>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</si>
  <si>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</si>
  <si>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</si>
  <si>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</si>
  <si>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</si>
  <si>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</si>
  <si>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</si>
  <si>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</si>
  <si>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02.07.2014</t>
    </r>
    <r>
      <rPr>
        <b/>
        <sz val="16"/>
        <rFont val="Times New Roman"/>
        <family val="1"/>
      </rPr>
      <t>р.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</si>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</sst>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6"/>
      <sheetName val="депозит"/>
      <sheetName val="залишки  (2)"/>
      <sheetName val="надх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115585348.67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101760126.71000001</v>
          </cell>
        </row>
      </sheetData>
      <sheetData sheetId="13">
        <row r="52">
          <cell r="B52">
            <v>40638966.03999999</v>
          </cell>
        </row>
      </sheetData>
      <sheetData sheetId="18">
        <row r="28">
          <cell r="C28">
            <v>4870376.3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5" sqref="E14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248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253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250</v>
      </c>
      <c r="H4" s="187" t="s">
        <v>251</v>
      </c>
      <c r="I4" s="183" t="s">
        <v>188</v>
      </c>
      <c r="J4" s="189" t="s">
        <v>189</v>
      </c>
      <c r="K4" s="178" t="s">
        <v>240</v>
      </c>
      <c r="L4" s="179"/>
      <c r="M4" s="202"/>
      <c r="N4" s="181" t="s">
        <v>254</v>
      </c>
      <c r="O4" s="183" t="s">
        <v>136</v>
      </c>
      <c r="P4" s="183" t="s">
        <v>135</v>
      </c>
      <c r="Q4" s="178" t="s">
        <v>242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249</v>
      </c>
      <c r="F5" s="205"/>
      <c r="G5" s="186"/>
      <c r="H5" s="188"/>
      <c r="I5" s="184"/>
      <c r="J5" s="190"/>
      <c r="K5" s="165"/>
      <c r="L5" s="166"/>
      <c r="M5" s="151" t="s">
        <v>252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227140.68</v>
      </c>
      <c r="G8" s="22">
        <f aca="true" t="shared" si="0" ref="G8:G30">F8-E8</f>
        <v>-44094.02999999997</v>
      </c>
      <c r="H8" s="51">
        <f>F8/E8*100</f>
        <v>83.74322003256886</v>
      </c>
      <c r="I8" s="36">
        <f aca="true" t="shared" si="1" ref="I8:I17">F8-D8</f>
        <v>-261335.62</v>
      </c>
      <c r="J8" s="36">
        <f aca="true" t="shared" si="2" ref="J8:J14">F8/D8*100</f>
        <v>46.4998363277809</v>
      </c>
      <c r="K8" s="36">
        <f>F8-227938.8</f>
        <v>-798.1199999999953</v>
      </c>
      <c r="L8" s="136">
        <f>F8/227938.8</f>
        <v>0.996498533816972</v>
      </c>
      <c r="M8" s="22">
        <f>M10+M19+M33+M56+M68+M30</f>
        <v>37968.180000000015</v>
      </c>
      <c r="N8" s="22">
        <f>N10+N19+N33+N56+N68+N30</f>
        <v>721.6599999999839</v>
      </c>
      <c r="O8" s="36">
        <f aca="true" t="shared" si="3" ref="O8:O71">N8-M8</f>
        <v>-37246.52000000003</v>
      </c>
      <c r="P8" s="36">
        <f>F8/M8*100</f>
        <v>598.2395785102154</v>
      </c>
      <c r="Q8" s="36">
        <f>N8-40804</f>
        <v>-40082.34000000002</v>
      </c>
      <c r="R8" s="134">
        <f>N8/40804</f>
        <v>0.01768601117537457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183619.83</v>
      </c>
      <c r="G9" s="22">
        <f t="shared" si="0"/>
        <v>183619.83</v>
      </c>
      <c r="H9" s="20"/>
      <c r="I9" s="56">
        <f t="shared" si="1"/>
        <v>-203393.37000000002</v>
      </c>
      <c r="J9" s="56">
        <f t="shared" si="2"/>
        <v>47.44536620456356</v>
      </c>
      <c r="K9" s="56"/>
      <c r="L9" s="135"/>
      <c r="M9" s="20">
        <f>M10+M17</f>
        <v>30824.800000000017</v>
      </c>
      <c r="N9" s="20">
        <f>N10+N17</f>
        <v>621.6999999999825</v>
      </c>
      <c r="O9" s="36">
        <f t="shared" si="3"/>
        <v>-30203.100000000035</v>
      </c>
      <c r="P9" s="56">
        <f>F9/M9*100</f>
        <v>595.6886338273075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183619.83</v>
      </c>
      <c r="G10" s="49">
        <f t="shared" si="0"/>
        <v>-37751.27000000002</v>
      </c>
      <c r="H10" s="40">
        <f aca="true" t="shared" si="4" ref="H10:H17">F10/E10*100</f>
        <v>82.94661317579394</v>
      </c>
      <c r="I10" s="56">
        <f t="shared" si="1"/>
        <v>-203393.37000000002</v>
      </c>
      <c r="J10" s="56">
        <f t="shared" si="2"/>
        <v>47.44536620456356</v>
      </c>
      <c r="K10" s="141">
        <f>F10-179133.7</f>
        <v>4486.129999999976</v>
      </c>
      <c r="L10" s="142">
        <f>F10/179133.7</f>
        <v>1.0250434731153322</v>
      </c>
      <c r="M10" s="40">
        <f>E10-червень!E10</f>
        <v>30824.800000000017</v>
      </c>
      <c r="N10" s="40">
        <f>F10-червень!F10</f>
        <v>621.6999999999825</v>
      </c>
      <c r="O10" s="53">
        <f t="shared" si="3"/>
        <v>-30203.100000000035</v>
      </c>
      <c r="P10" s="56">
        <f aca="true" t="shared" si="5" ref="P10:P17">N10/M10*100</f>
        <v>2.0168825101865453</v>
      </c>
      <c r="Q10" s="141">
        <f>N10-33294.7</f>
        <v>-32673.000000000015</v>
      </c>
      <c r="R10" s="142">
        <f>N10/33294.7</f>
        <v>0.018672641591604148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317.87</v>
      </c>
      <c r="G19" s="49">
        <f t="shared" si="0"/>
        <v>-715.7299999999999</v>
      </c>
      <c r="H19" s="40">
        <f aca="true" t="shared" si="6" ref="H19:H29">F19/E19*100</f>
        <v>30.753676470588236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E19-червень!E19</f>
        <v>10.999999999999886</v>
      </c>
      <c r="N19" s="40">
        <f>F19-червень!F19</f>
        <v>0</v>
      </c>
      <c r="O19" s="53">
        <f t="shared" si="3"/>
        <v>-10.999999999999886</v>
      </c>
      <c r="P19" s="56">
        <f aca="true" t="shared" si="9" ref="P19:P29">N19/M19*100</f>
        <v>0</v>
      </c>
      <c r="Q19" s="56">
        <f>N19-465.3</f>
        <v>-465.3</v>
      </c>
      <c r="R19" s="135">
        <f>N19/465.3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828.87</v>
      </c>
      <c r="G29" s="49">
        <f t="shared" si="0"/>
        <v>95.26999999999998</v>
      </c>
      <c r="H29" s="40">
        <f t="shared" si="6"/>
        <v>112.98664122137406</v>
      </c>
      <c r="I29" s="56">
        <f t="shared" si="7"/>
        <v>-101.13</v>
      </c>
      <c r="J29" s="56">
        <f t="shared" si="8"/>
        <v>89.1258064516129</v>
      </c>
      <c r="K29" s="148">
        <f>F29-2001.3</f>
        <v>-1172.4299999999998</v>
      </c>
      <c r="L29" s="149">
        <f>F29/2001.3</f>
        <v>0.41416579223504724</v>
      </c>
      <c r="M29" s="40">
        <f>E29-червень!E29</f>
        <v>-29</v>
      </c>
      <c r="N29" s="40">
        <f>F29-червень!F29</f>
        <v>0</v>
      </c>
      <c r="O29" s="148">
        <f t="shared" si="3"/>
        <v>29</v>
      </c>
      <c r="P29" s="145">
        <f t="shared" si="9"/>
        <v>0</v>
      </c>
      <c r="Q29" s="148">
        <f>N29-403.3</f>
        <v>-403.3</v>
      </c>
      <c r="R29" s="149">
        <f>N29/403.3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f>2.91</f>
        <v>2.91</v>
      </c>
      <c r="G30" s="49">
        <f t="shared" si="0"/>
        <v>-15.59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E30-червень!E30</f>
        <v>0.5</v>
      </c>
      <c r="N30" s="40">
        <f>F30-червень!F30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39919.71</v>
      </c>
      <c r="G33" s="49">
        <f aca="true" t="shared" si="14" ref="G33:G72">F33-E33</f>
        <v>-4941.4000000000015</v>
      </c>
      <c r="H33" s="40">
        <f aca="true" t="shared" si="15" ref="H33:H67">F33/E33*100</f>
        <v>88.98511427826908</v>
      </c>
      <c r="I33" s="56">
        <f>F33-D33</f>
        <v>-53646.29</v>
      </c>
      <c r="J33" s="56">
        <f aca="true" t="shared" si="16" ref="J33:J72">F33/D33*100</f>
        <v>42.66476070367441</v>
      </c>
      <c r="K33" s="141">
        <f>F33-39969.9</f>
        <v>-50.19000000000233</v>
      </c>
      <c r="L33" s="142">
        <f>F33/39969.9</f>
        <v>0.9987443050895799</v>
      </c>
      <c r="M33" s="40">
        <f>E33-червень!E33</f>
        <v>6579.879999999997</v>
      </c>
      <c r="N33" s="40">
        <f>F33-червень!F33</f>
        <v>86.65000000000146</v>
      </c>
      <c r="O33" s="53">
        <f t="shared" si="3"/>
        <v>-6493.229999999996</v>
      </c>
      <c r="P33" s="56">
        <f aca="true" t="shared" si="17" ref="P33:P67">N33/M33*100</f>
        <v>1.3168933172033759</v>
      </c>
      <c r="Q33" s="141">
        <f>N33-6504.1</f>
        <v>-6417.449999999999</v>
      </c>
      <c r="R33" s="142">
        <f>N33/6504.1</f>
        <v>0.013322365892283552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29818.6</v>
      </c>
      <c r="G55" s="144">
        <f t="shared" si="14"/>
        <v>-3292.209999999999</v>
      </c>
      <c r="H55" s="146">
        <f t="shared" si="15"/>
        <v>90.05699347131647</v>
      </c>
      <c r="I55" s="145">
        <f t="shared" si="18"/>
        <v>-40447.4</v>
      </c>
      <c r="J55" s="145">
        <f t="shared" si="16"/>
        <v>42.43674038653118</v>
      </c>
      <c r="K55" s="148">
        <f>F55-28815.15</f>
        <v>1003.4499999999971</v>
      </c>
      <c r="L55" s="149">
        <f>F55/28815.15</f>
        <v>1.0348236951742398</v>
      </c>
      <c r="M55" s="40">
        <f>E55-червень!E55</f>
        <v>4779.879999999997</v>
      </c>
      <c r="N55" s="40">
        <f>F55-червень!F55</f>
        <v>52.0099999999984</v>
      </c>
      <c r="O55" s="148">
        <f t="shared" si="3"/>
        <v>-4727.869999999999</v>
      </c>
      <c r="P55" s="148">
        <f t="shared" si="17"/>
        <v>1.08810263019152</v>
      </c>
      <c r="Q55" s="163">
        <f>N55-4583</f>
        <v>-4530.990000000002</v>
      </c>
      <c r="R55" s="164">
        <f>N55/4583</f>
        <v>0.011348461706305563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0.36+3279.02</f>
        <v>3279.38</v>
      </c>
      <c r="G56" s="49">
        <f t="shared" si="14"/>
        <v>-670.9200000000001</v>
      </c>
      <c r="H56" s="40">
        <f t="shared" si="15"/>
        <v>83.01597347036935</v>
      </c>
      <c r="I56" s="56">
        <f t="shared" si="18"/>
        <v>-3580.62</v>
      </c>
      <c r="J56" s="56">
        <f t="shared" si="16"/>
        <v>47.80437317784257</v>
      </c>
      <c r="K56" s="56">
        <f>F56-3189.3</f>
        <v>90.07999999999993</v>
      </c>
      <c r="L56" s="135">
        <f>F56/3189.3</f>
        <v>1.0282444423541215</v>
      </c>
      <c r="M56" s="40">
        <f>E56-червень!E56</f>
        <v>552</v>
      </c>
      <c r="N56" s="40">
        <f>F56-червень!F56</f>
        <v>13.309999999999945</v>
      </c>
      <c r="O56" s="53">
        <f t="shared" si="3"/>
        <v>-538.69</v>
      </c>
      <c r="P56" s="56">
        <f t="shared" si="17"/>
        <v>2.411231884057961</v>
      </c>
      <c r="Q56" s="56">
        <f>N56-539.8</f>
        <v>-526.49</v>
      </c>
      <c r="R56" s="135">
        <f>N56/539.8</f>
        <v>0.024657280474249622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E68-червень!E68</f>
        <v>0</v>
      </c>
      <c r="N68" s="40">
        <f>F68-червень!F68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6342.94</v>
      </c>
      <c r="G74" s="50">
        <f aca="true" t="shared" si="24" ref="G74:G92">F74-E74</f>
        <v>-2636.0600000000004</v>
      </c>
      <c r="H74" s="51">
        <f aca="true" t="shared" si="25" ref="H74:H87">F74/E74*100</f>
        <v>70.64194230983405</v>
      </c>
      <c r="I74" s="36">
        <f aca="true" t="shared" si="26" ref="I74:I92">F74-D74</f>
        <v>-12015.36</v>
      </c>
      <c r="J74" s="36">
        <f aca="true" t="shared" si="27" ref="J74:J92">F74/D74*100</f>
        <v>34.550802634230834</v>
      </c>
      <c r="K74" s="36">
        <f>F74-9149.2</f>
        <v>-2806.260000000001</v>
      </c>
      <c r="L74" s="136">
        <f>F74/9149.2</f>
        <v>0.6932781008175577</v>
      </c>
      <c r="M74" s="22">
        <f>M77+M86+M88+M89+M94+M95+M96+M97+M99+M87+M104</f>
        <v>1550.5</v>
      </c>
      <c r="N74" s="22">
        <f>N77+N86+N88+N89+N94+N95+N96+N97+N99+N32+N104+N87+N103</f>
        <v>1.3600000000000705</v>
      </c>
      <c r="O74" s="55">
        <f aca="true" t="shared" si="28" ref="O74:O92">N74-M74</f>
        <v>-1549.1399999999999</v>
      </c>
      <c r="P74" s="36">
        <f>N74/M74*100</f>
        <v>0.08771364076104937</v>
      </c>
      <c r="Q74" s="36">
        <f>N74-1610.7</f>
        <v>-1609.34</v>
      </c>
      <c r="R74" s="136">
        <f>N74/1610.7</f>
        <v>0.0008443533867263118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E77-червень!E77</f>
        <v>0</v>
      </c>
      <c r="N77" s="40">
        <f>F77-червень!F77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61.77</v>
      </c>
      <c r="G89" s="49">
        <f t="shared" si="24"/>
        <v>-37.23</v>
      </c>
      <c r="H89" s="40">
        <f>F89/E89*100</f>
        <v>62.393939393939405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E89-червень!E89</f>
        <v>15</v>
      </c>
      <c r="N89" s="40">
        <f>F89-червень!F89</f>
        <v>0</v>
      </c>
      <c r="O89" s="53">
        <f t="shared" si="28"/>
        <v>-15</v>
      </c>
      <c r="P89" s="56">
        <f>N89/M89*100</f>
        <v>0</v>
      </c>
      <c r="Q89" s="56">
        <f>N89-7.8</f>
        <v>-7.8</v>
      </c>
      <c r="R89" s="135">
        <f>N89/7.8</f>
        <v>0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3551.7</v>
      </c>
      <c r="G95" s="49">
        <f t="shared" si="31"/>
        <v>-554.8000000000002</v>
      </c>
      <c r="H95" s="40">
        <f>F95/E95*100</f>
        <v>86.48971143309387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E95-червень!E95</f>
        <v>575</v>
      </c>
      <c r="N95" s="40">
        <f>F95-червень!F95</f>
        <v>0</v>
      </c>
      <c r="O95" s="53">
        <f t="shared" si="33"/>
        <v>-575</v>
      </c>
      <c r="P95" s="56">
        <f>N95/M95*100</f>
        <v>0</v>
      </c>
      <c r="Q95" s="56">
        <f>N95-681.8</f>
        <v>-681.8</v>
      </c>
      <c r="R95" s="135">
        <f>N95/681.8</f>
        <v>0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416.75</v>
      </c>
      <c r="G96" s="49">
        <f t="shared" si="31"/>
        <v>-187.75</v>
      </c>
      <c r="H96" s="40">
        <f>F96/E96*100</f>
        <v>68.94127377998346</v>
      </c>
      <c r="I96" s="56">
        <f t="shared" si="32"/>
        <v>-783.25</v>
      </c>
      <c r="J96" s="56">
        <f>F96/D96*100</f>
        <v>34.729166666666664</v>
      </c>
      <c r="K96" s="56">
        <f>F96-463.2</f>
        <v>-46.44999999999999</v>
      </c>
      <c r="L96" s="135">
        <f>F96/463.2</f>
        <v>0.8997193436960277</v>
      </c>
      <c r="M96" s="40">
        <f>E96-червень!E96</f>
        <v>130</v>
      </c>
      <c r="N96" s="40">
        <f>F96-червень!F96</f>
        <v>1.420000000000016</v>
      </c>
      <c r="O96" s="53">
        <f t="shared" si="33"/>
        <v>-128.57999999999998</v>
      </c>
      <c r="P96" s="56">
        <f>N96/M96*100</f>
        <v>1.0923076923077046</v>
      </c>
      <c r="Q96" s="56">
        <f>N96-89.2</f>
        <v>-87.77999999999999</v>
      </c>
      <c r="R96" s="135">
        <f>N96/89.2</f>
        <v>0.01591928251121094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E97-червень!E97</f>
        <v>0</v>
      </c>
      <c r="N97" s="40">
        <f>F97-червень!F97</f>
        <v>0</v>
      </c>
      <c r="O97" s="53">
        <f t="shared" si="33"/>
        <v>0</v>
      </c>
      <c r="P97" s="56"/>
      <c r="Q97" s="56">
        <f>N97-0.9</f>
        <v>-0.9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1969.22</v>
      </c>
      <c r="G99" s="49">
        <f t="shared" si="31"/>
        <v>-217.77999999999997</v>
      </c>
      <c r="H99" s="40">
        <f>F99/E99*100</f>
        <v>90.04206675811615</v>
      </c>
      <c r="I99" s="56">
        <f t="shared" si="32"/>
        <v>-2603.4799999999996</v>
      </c>
      <c r="J99" s="56">
        <f>F99/D99*100</f>
        <v>43.06471012749579</v>
      </c>
      <c r="K99" s="56">
        <f>F99-1991.7</f>
        <v>-22.480000000000018</v>
      </c>
      <c r="L99" s="135">
        <f>F99/1991.7</f>
        <v>0.9887131596123914</v>
      </c>
      <c r="M99" s="40">
        <f>E99-червень!E99</f>
        <v>350</v>
      </c>
      <c r="N99" s="40">
        <f>F99-червень!F99</f>
        <v>-0.05999999999994543</v>
      </c>
      <c r="O99" s="53">
        <f t="shared" si="33"/>
        <v>-350.05999999999995</v>
      </c>
      <c r="P99" s="56">
        <f>N99/M99*100</f>
        <v>-0.017142857142841552</v>
      </c>
      <c r="Q99" s="56">
        <f>N99-325.9</f>
        <v>-325.9599999999999</v>
      </c>
      <c r="R99" s="135">
        <f>N99/325.9</f>
        <v>-0.00018410555385070708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363.3</v>
      </c>
      <c r="G102" s="144"/>
      <c r="H102" s="146"/>
      <c r="I102" s="145"/>
      <c r="J102" s="145"/>
      <c r="K102" s="148">
        <f>F102-244.8</f>
        <v>118.5</v>
      </c>
      <c r="L102" s="149">
        <f>F102/244.8</f>
        <v>1.4840686274509804</v>
      </c>
      <c r="M102" s="40">
        <f>E102-червень!E102</f>
        <v>0</v>
      </c>
      <c r="N102" s="40">
        <f>F102-червень!F102</f>
        <v>0</v>
      </c>
      <c r="O102" s="53"/>
      <c r="P102" s="60"/>
      <c r="Q102" s="60">
        <f>N102-60.1</f>
        <v>-60.1</v>
      </c>
      <c r="R102" s="138">
        <f>N102/60.1</f>
        <v>0</v>
      </c>
    </row>
    <row r="103" spans="1:18" s="6" customFormat="1" ht="15.75">
      <c r="A103" s="8"/>
      <c r="B103" s="67" t="s">
        <v>100</v>
      </c>
      <c r="C103" s="223">
        <v>24060600</v>
      </c>
      <c r="D103" s="144"/>
      <c r="E103" s="144"/>
      <c r="F103" s="224">
        <v>4.62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13.91</v>
      </c>
      <c r="G105" s="49">
        <f>F105-E105</f>
        <v>-4.289999999999999</v>
      </c>
      <c r="H105" s="40">
        <f>F105/E105*100</f>
        <v>76.42857142857143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E105-червень!E105</f>
        <v>3</v>
      </c>
      <c r="N105" s="40">
        <f>F105-червень!F105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233497.61</v>
      </c>
      <c r="G107" s="50">
        <f>F107-E107</f>
        <v>-46734.29999999999</v>
      </c>
      <c r="H107" s="51">
        <f>F107/E107*100</f>
        <v>83.32299130388114</v>
      </c>
      <c r="I107" s="36">
        <f t="shared" si="34"/>
        <v>-273381.99</v>
      </c>
      <c r="J107" s="36">
        <f t="shared" si="36"/>
        <v>46.06569489085771</v>
      </c>
      <c r="K107" s="36">
        <f>F107-237104</f>
        <v>-3606.390000000014</v>
      </c>
      <c r="L107" s="136">
        <f>F107/237104</f>
        <v>0.984789839057966</v>
      </c>
      <c r="M107" s="22">
        <f>M8+M74+M105+M106</f>
        <v>39521.680000000015</v>
      </c>
      <c r="N107" s="22">
        <f>N8+N74+N105+N106</f>
        <v>723.0199999999841</v>
      </c>
      <c r="O107" s="55">
        <f t="shared" si="35"/>
        <v>-38798.66000000003</v>
      </c>
      <c r="P107" s="36">
        <f>N107/M107*100</f>
        <v>1.8294262794496179</v>
      </c>
      <c r="Q107" s="36">
        <f>N107-42414.8</f>
        <v>-41691.78000000002</v>
      </c>
      <c r="R107" s="136">
        <f>N107/42414.8</f>
        <v>0.017046408329167744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184036.58</v>
      </c>
      <c r="G108" s="71">
        <f>G10-G18+G96</f>
        <v>-37939.02000000002</v>
      </c>
      <c r="H108" s="72">
        <f>F108/E108*100</f>
        <v>82.9084728231391</v>
      </c>
      <c r="I108" s="52">
        <f t="shared" si="34"/>
        <v>-204176.62000000002</v>
      </c>
      <c r="J108" s="52">
        <f t="shared" si="36"/>
        <v>47.406059350892754</v>
      </c>
      <c r="K108" s="52">
        <f>F108-179685.8</f>
        <v>4350.779999999999</v>
      </c>
      <c r="L108" s="137">
        <f>F108/179685.8</f>
        <v>1.0242132656002867</v>
      </c>
      <c r="M108" s="71">
        <f>M10-M18+M96</f>
        <v>30954.800000000017</v>
      </c>
      <c r="N108" s="71">
        <f>N10-N18+N96</f>
        <v>623.1199999999826</v>
      </c>
      <c r="O108" s="53">
        <f t="shared" si="35"/>
        <v>-30331.680000000037</v>
      </c>
      <c r="P108" s="52">
        <f>N108/M108*100</f>
        <v>2.012999599415865</v>
      </c>
      <c r="Q108" s="52">
        <f>N108-33396.9</f>
        <v>-32773.78000000002</v>
      </c>
      <c r="R108" s="137">
        <f>N108/33396.9</f>
        <v>0.01865801915746619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49461.03</v>
      </c>
      <c r="G109" s="62">
        <f>F109-E109</f>
        <v>-8795.27999999997</v>
      </c>
      <c r="H109" s="72">
        <f>F109/E109*100</f>
        <v>84.9024423277067</v>
      </c>
      <c r="I109" s="52">
        <f t="shared" si="34"/>
        <v>-69205.36999999997</v>
      </c>
      <c r="J109" s="52">
        <f t="shared" si="36"/>
        <v>41.68073692300433</v>
      </c>
      <c r="K109" s="52">
        <f>F109-57418.1</f>
        <v>-7957.07</v>
      </c>
      <c r="L109" s="137">
        <f>F109/57418.1</f>
        <v>0.8614187860622348</v>
      </c>
      <c r="M109" s="71">
        <f>M107-M108</f>
        <v>8566.879999999997</v>
      </c>
      <c r="N109" s="71">
        <f>N107-N108</f>
        <v>99.90000000000146</v>
      </c>
      <c r="O109" s="53">
        <f t="shared" si="35"/>
        <v>-8466.979999999996</v>
      </c>
      <c r="P109" s="52">
        <f>N109/M109*100</f>
        <v>1.1661188203873696</v>
      </c>
      <c r="Q109" s="52">
        <f>N109-9017.9</f>
        <v>-8917.999999999998</v>
      </c>
      <c r="R109" s="137">
        <f>N109/9017.9</f>
        <v>0.011077967154215667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184036.58</v>
      </c>
      <c r="G110" s="111">
        <f>F110-E110</f>
        <v>-32569.120000000024</v>
      </c>
      <c r="H110" s="72">
        <f>F110/E110*100</f>
        <v>84.96386752518515</v>
      </c>
      <c r="I110" s="81">
        <f t="shared" si="34"/>
        <v>-204176.62000000002</v>
      </c>
      <c r="J110" s="52">
        <f t="shared" si="36"/>
        <v>47.406059350892754</v>
      </c>
      <c r="K110" s="52"/>
      <c r="L110" s="137"/>
      <c r="M110" s="72">
        <f>E110-травень!E109</f>
        <v>65489.30000000002</v>
      </c>
      <c r="N110" s="71">
        <f>N108</f>
        <v>623.1199999999826</v>
      </c>
      <c r="O110" s="118">
        <f t="shared" si="35"/>
        <v>-64866.18000000004</v>
      </c>
      <c r="P110" s="52">
        <f>N110/M110*100</f>
        <v>0.9514836774862191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255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607.55</v>
      </c>
      <c r="G115" s="49">
        <f t="shared" si="37"/>
        <v>-1417.05</v>
      </c>
      <c r="H115" s="40">
        <f aca="true" t="shared" si="39" ref="H115:H126">F115/E115*100</f>
        <v>30.00839672033982</v>
      </c>
      <c r="I115" s="60">
        <f t="shared" si="38"/>
        <v>-3063.95</v>
      </c>
      <c r="J115" s="60">
        <f aca="true" t="shared" si="40" ref="J115:J121">F115/D115*100</f>
        <v>16.54773253438649</v>
      </c>
      <c r="K115" s="60">
        <f>F115-1891.5</f>
        <v>-1283.95</v>
      </c>
      <c r="L115" s="138">
        <f>F115/1891.5</f>
        <v>0.3212001057361882</v>
      </c>
      <c r="M115" s="40">
        <f>E115-червень!E115</f>
        <v>327.5</v>
      </c>
      <c r="N115" s="40">
        <f>F115-червень!F115</f>
        <v>1.4699999999999136</v>
      </c>
      <c r="O115" s="53">
        <f aca="true" t="shared" si="41" ref="O115:O126">N115-M115</f>
        <v>-326.0300000000001</v>
      </c>
      <c r="P115" s="60">
        <f>N115/M115*100</f>
        <v>0.44885496183203466</v>
      </c>
      <c r="Q115" s="60">
        <f>N115-276.6</f>
        <v>-275.1300000000001</v>
      </c>
      <c r="R115" s="138">
        <f>N115/276.6</f>
        <v>0.00531453362255934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167.14</v>
      </c>
      <c r="G116" s="49">
        <f t="shared" si="37"/>
        <v>10.639999999999986</v>
      </c>
      <c r="H116" s="40">
        <f t="shared" si="39"/>
        <v>106.79872204472842</v>
      </c>
      <c r="I116" s="60">
        <f t="shared" si="38"/>
        <v>-100.96000000000004</v>
      </c>
      <c r="J116" s="60">
        <f t="shared" si="40"/>
        <v>62.34240954867586</v>
      </c>
      <c r="K116" s="60">
        <f>F116-131.2</f>
        <v>35.94</v>
      </c>
      <c r="L116" s="138">
        <f>F116/131.2</f>
        <v>1.2739329268292683</v>
      </c>
      <c r="M116" s="40">
        <f>E116-червень!E116</f>
        <v>22</v>
      </c>
      <c r="N116" s="40">
        <f>F116-червень!F116</f>
        <v>1.9299999999999784</v>
      </c>
      <c r="O116" s="53">
        <f t="shared" si="41"/>
        <v>-20.07000000000002</v>
      </c>
      <c r="P116" s="60">
        <f>N116/M116*100</f>
        <v>8.772727272727176</v>
      </c>
      <c r="Q116" s="60">
        <f>N116-25.8</f>
        <v>-23.870000000000022</v>
      </c>
      <c r="R116" s="138">
        <f>N116/25.8</f>
        <v>0.07480620155038675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773.55</v>
      </c>
      <c r="G117" s="62">
        <f t="shared" si="37"/>
        <v>-1407.55</v>
      </c>
      <c r="H117" s="72">
        <f t="shared" si="39"/>
        <v>35.466049241208566</v>
      </c>
      <c r="I117" s="61">
        <f t="shared" si="38"/>
        <v>-3166.05</v>
      </c>
      <c r="J117" s="61">
        <f t="shared" si="40"/>
        <v>19.635242156564118</v>
      </c>
      <c r="K117" s="61">
        <f>F117-2030.5</f>
        <v>-1256.95</v>
      </c>
      <c r="L117" s="139">
        <f>F117/2030.5</f>
        <v>0.38096527948781084</v>
      </c>
      <c r="M117" s="62">
        <f>M115+M116+M114</f>
        <v>349.5</v>
      </c>
      <c r="N117" s="38">
        <f>SUM(N114:N116)</f>
        <v>3.399999999999892</v>
      </c>
      <c r="O117" s="61">
        <f t="shared" si="41"/>
        <v>-346.10000000000014</v>
      </c>
      <c r="P117" s="61">
        <f>N117/M117*100</f>
        <v>0.972818311874075</v>
      </c>
      <c r="Q117" s="61">
        <f>N117-303.5</f>
        <v>-300.10000000000014</v>
      </c>
      <c r="R117" s="139">
        <f>N117/303.5</f>
        <v>0.011202635914332428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139.3</v>
      </c>
      <c r="G119" s="49">
        <f t="shared" si="37"/>
        <v>-43.19999999999999</v>
      </c>
      <c r="H119" s="40">
        <f t="shared" si="39"/>
        <v>76.32876712328768</v>
      </c>
      <c r="I119" s="60">
        <f t="shared" si="38"/>
        <v>-127.89999999999998</v>
      </c>
      <c r="J119" s="60">
        <f t="shared" si="40"/>
        <v>52.13323353293414</v>
      </c>
      <c r="K119" s="60">
        <f>F119-95.9</f>
        <v>43.400000000000006</v>
      </c>
      <c r="L119" s="138">
        <f>F119/95.9</f>
        <v>1.4525547445255476</v>
      </c>
      <c r="M119" s="40">
        <f>E119-червень!E119</f>
        <v>73</v>
      </c>
      <c r="N119" s="40">
        <f>F119-червень!F119</f>
        <v>1.0200000000000102</v>
      </c>
      <c r="O119" s="53">
        <f>N119-M119</f>
        <v>-71.97999999999999</v>
      </c>
      <c r="P119" s="60">
        <f>N119/M119*100</f>
        <v>1.3972602739726168</v>
      </c>
      <c r="Q119" s="60">
        <f>N119-7.4</f>
        <v>-6.37999999999999</v>
      </c>
      <c r="R119" s="138">
        <f>N119/7.4</f>
        <v>0.1378378378378392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38156.7</v>
      </c>
      <c r="G120" s="49">
        <f t="shared" si="37"/>
        <v>-3155.9000000000015</v>
      </c>
      <c r="H120" s="40">
        <f t="shared" si="39"/>
        <v>92.36092620653262</v>
      </c>
      <c r="I120" s="53">
        <f t="shared" si="38"/>
        <v>-33819.29000000001</v>
      </c>
      <c r="J120" s="60">
        <f t="shared" si="40"/>
        <v>53.01309506128362</v>
      </c>
      <c r="K120" s="60">
        <f>F120-32510.8</f>
        <v>5645.899999999998</v>
      </c>
      <c r="L120" s="138">
        <f>F120/32510.8</f>
        <v>1.1736622906849417</v>
      </c>
      <c r="M120" s="40">
        <f>E120-червень!E120</f>
        <v>7100</v>
      </c>
      <c r="N120" s="40">
        <f>F120-червень!F120</f>
        <v>102.98999999999796</v>
      </c>
      <c r="O120" s="53">
        <f t="shared" si="41"/>
        <v>-6997.010000000002</v>
      </c>
      <c r="P120" s="60">
        <f aca="true" t="shared" si="42" ref="P120:P125">N120/M120*100</f>
        <v>1.4505633802816613</v>
      </c>
      <c r="Q120" s="60">
        <v>2488.2</v>
      </c>
      <c r="R120" s="138">
        <f>N120/2488.2</f>
        <v>0.0413913672534354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1658.94</v>
      </c>
      <c r="G121" s="49">
        <f t="shared" si="37"/>
        <v>-24.059999999999945</v>
      </c>
      <c r="H121" s="40">
        <f t="shared" si="39"/>
        <v>98.5704099821747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E121-червень!E121</f>
        <v>16</v>
      </c>
      <c r="N121" s="40">
        <f>F121-червень!F121</f>
        <v>0</v>
      </c>
      <c r="O121" s="53">
        <f t="shared" si="41"/>
        <v>-16</v>
      </c>
      <c r="P121" s="60">
        <f t="shared" si="42"/>
        <v>0</v>
      </c>
      <c r="Q121" s="60">
        <f>N121-188.5</f>
        <v>-188.5</v>
      </c>
      <c r="R121" s="138">
        <f>N121/188.5</f>
        <v>0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2117.13</v>
      </c>
      <c r="G122" s="49">
        <f t="shared" si="37"/>
        <v>-5115.37</v>
      </c>
      <c r="H122" s="40">
        <f t="shared" si="39"/>
        <v>29.272450743173177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E122-червень!E122</f>
        <v>2409.8999999999996</v>
      </c>
      <c r="N122" s="40">
        <f>F122-червень!F122</f>
        <v>0</v>
      </c>
      <c r="O122" s="53">
        <f t="shared" si="41"/>
        <v>-2409.8999999999996</v>
      </c>
      <c r="P122" s="60">
        <f t="shared" si="42"/>
        <v>0</v>
      </c>
      <c r="Q122" s="60">
        <f>N122-6379.2</f>
        <v>-6379.2</v>
      </c>
      <c r="R122" s="138">
        <f>N122/6379.2</f>
        <v>0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728.31</v>
      </c>
      <c r="G123" s="49">
        <f t="shared" si="37"/>
        <v>-323.73</v>
      </c>
      <c r="H123" s="40">
        <f t="shared" si="39"/>
        <v>69.22835633626097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E123-червень!E123</f>
        <v>189.58999999999992</v>
      </c>
      <c r="N123" s="40">
        <f>F123-червень!F123</f>
        <v>0</v>
      </c>
      <c r="O123" s="53">
        <f t="shared" si="41"/>
        <v>-189.58999999999992</v>
      </c>
      <c r="P123" s="60">
        <f t="shared" si="42"/>
        <v>0</v>
      </c>
      <c r="Q123" s="60">
        <f>N123-0</f>
        <v>0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42800.38</v>
      </c>
      <c r="G124" s="62">
        <f t="shared" si="37"/>
        <v>-8662.260000000002</v>
      </c>
      <c r="H124" s="72">
        <f t="shared" si="39"/>
        <v>83.16786701964764</v>
      </c>
      <c r="I124" s="61">
        <f t="shared" si="38"/>
        <v>-64520.810000000005</v>
      </c>
      <c r="J124" s="61">
        <f>F124/D124*100</f>
        <v>39.88064239690223</v>
      </c>
      <c r="K124" s="61">
        <f>F124-48279.1</f>
        <v>-5478.720000000001</v>
      </c>
      <c r="L124" s="139">
        <f>F124/48279.1</f>
        <v>0.8865198398478844</v>
      </c>
      <c r="M124" s="62">
        <f>M120+M121+M122+M123+M119</f>
        <v>9788.49</v>
      </c>
      <c r="N124" s="62">
        <f>N120+N121+N122+N123+N119</f>
        <v>104.00999999999797</v>
      </c>
      <c r="O124" s="61">
        <f t="shared" si="41"/>
        <v>-9684.480000000001</v>
      </c>
      <c r="P124" s="61">
        <f t="shared" si="42"/>
        <v>1.062574513535775</v>
      </c>
      <c r="Q124" s="61">
        <f>N124-9063.3</f>
        <v>-8959.29</v>
      </c>
      <c r="R124" s="139">
        <f>N124/9063.3</f>
        <v>0.011475952467644013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N125-1.6</f>
        <v>-1.6</v>
      </c>
      <c r="R125" s="138">
        <f>N125/1.6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E127-червень!E127</f>
        <v>0</v>
      </c>
      <c r="N127" s="40">
        <f>F127-червень!F127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5295.56</v>
      </c>
      <c r="G128" s="49">
        <f aca="true" t="shared" si="43" ref="G128:G135">F128-E128</f>
        <v>280.0600000000004</v>
      </c>
      <c r="H128" s="40">
        <f>F128/E128*100</f>
        <v>105.58388994118235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E128-червень!E128</f>
        <v>3</v>
      </c>
      <c r="N128" s="40">
        <f>F128-червень!F128</f>
        <v>0</v>
      </c>
      <c r="O128" s="53">
        <f aca="true" t="shared" si="45" ref="O128:O135">N128-M128</f>
        <v>-3</v>
      </c>
      <c r="P128" s="60">
        <f>N128/M128*100</f>
        <v>0</v>
      </c>
      <c r="Q128" s="60">
        <f>N128-12.3</f>
        <v>-12.3</v>
      </c>
      <c r="R128" s="162">
        <f>N128/12.3</f>
        <v>0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E129-червень!E129</f>
        <v>0</v>
      </c>
      <c r="N129" s="40">
        <f>F129-червень!F129</f>
        <v>0</v>
      </c>
      <c r="O129" s="53">
        <f t="shared" si="45"/>
        <v>0</v>
      </c>
      <c r="P129" s="60"/>
      <c r="Q129" s="60">
        <f>N129-0.1</f>
        <v>-0.1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5327.750000000001</v>
      </c>
      <c r="G130" s="62">
        <f t="shared" si="43"/>
        <v>285.89000000000124</v>
      </c>
      <c r="H130" s="72">
        <f>F130/E130*100</f>
        <v>105.67032801386793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0.04459923247324596</v>
      </c>
      <c r="M130" s="62">
        <f>M125+M128+M129+M127</f>
        <v>5</v>
      </c>
      <c r="N130" s="62">
        <f>N125+N128+N129+N127</f>
        <v>0</v>
      </c>
      <c r="O130" s="61">
        <f t="shared" si="45"/>
        <v>-5</v>
      </c>
      <c r="P130" s="61">
        <f>N130/M130*100</f>
        <v>0</v>
      </c>
      <c r="Q130" s="61">
        <f>N130-14</f>
        <v>-14</v>
      </c>
      <c r="R130" s="137">
        <f>N130/14</f>
        <v>0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21.12</v>
      </c>
      <c r="G131" s="49">
        <f>F131-E131</f>
        <v>5.07</v>
      </c>
      <c r="H131" s="40">
        <f>F131/E131*100</f>
        <v>131.588785046729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E131-червень!E131</f>
        <v>0.40000000000000036</v>
      </c>
      <c r="N131" s="40">
        <f>F131-червень!F131</f>
        <v>0</v>
      </c>
      <c r="O131" s="53">
        <f>N131-M131</f>
        <v>-0.40000000000000036</v>
      </c>
      <c r="P131" s="60">
        <f>N131/M131*100</f>
        <v>0</v>
      </c>
      <c r="Q131" s="60">
        <f>N131-7.5</f>
        <v>-7.5</v>
      </c>
      <c r="R131" s="138">
        <f>N131/7.5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48922.799999999996</v>
      </c>
      <c r="G134" s="50">
        <f t="shared" si="43"/>
        <v>-9778.850000000006</v>
      </c>
      <c r="H134" s="51">
        <f>F134/E134*100</f>
        <v>83.34143929514757</v>
      </c>
      <c r="I134" s="36">
        <f t="shared" si="44"/>
        <v>-71118.69</v>
      </c>
      <c r="J134" s="36">
        <f>F134/D134*100</f>
        <v>40.75490899021663</v>
      </c>
      <c r="K134" s="36">
        <f>F134-56736.6</f>
        <v>-7813.800000000003</v>
      </c>
      <c r="L134" s="136">
        <f>F134/56736.6</f>
        <v>0.8622793752181132</v>
      </c>
      <c r="M134" s="31">
        <f>M117+M131+M124+M130+M133+M132</f>
        <v>10143.39</v>
      </c>
      <c r="N134" s="31">
        <f>N117+N131+N124+N130+N133+N132</f>
        <v>107.40999999999786</v>
      </c>
      <c r="O134" s="36">
        <f t="shared" si="45"/>
        <v>-10035.980000000001</v>
      </c>
      <c r="P134" s="36">
        <f>N134/M134*100</f>
        <v>1.0589162005995811</v>
      </c>
      <c r="Q134" s="36">
        <f>N134-9388.2</f>
        <v>-9280.790000000003</v>
      </c>
      <c r="R134" s="136">
        <f>N134/9388.2</f>
        <v>0.011440957798086732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282420.41</v>
      </c>
      <c r="G135" s="50">
        <f t="shared" si="43"/>
        <v>-56513.15000000002</v>
      </c>
      <c r="H135" s="51">
        <f>F135/E135*100</f>
        <v>83.32618640656297</v>
      </c>
      <c r="I135" s="36">
        <f t="shared" si="44"/>
        <v>-344500.68</v>
      </c>
      <c r="J135" s="36">
        <f>F135/D135*100</f>
        <v>45.048797130114096</v>
      </c>
      <c r="K135" s="36">
        <f>F135-293840.6</f>
        <v>-11420.190000000002</v>
      </c>
      <c r="L135" s="136">
        <f>F135/293840.6</f>
        <v>0.961134744483914</v>
      </c>
      <c r="M135" s="22">
        <f>M107+M134</f>
        <v>49665.070000000014</v>
      </c>
      <c r="N135" s="22">
        <f>N107+N134</f>
        <v>830.4299999999819</v>
      </c>
      <c r="O135" s="36">
        <f t="shared" si="45"/>
        <v>-48834.640000000036</v>
      </c>
      <c r="P135" s="36">
        <f>N135/M135*100</f>
        <v>1.6720604642256252</v>
      </c>
      <c r="Q135" s="36">
        <f>N135-51803</f>
        <v>-50972.57000000002</v>
      </c>
      <c r="R135" s="136">
        <f>N135/51803</f>
        <v>0.01603053877188545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22</v>
      </c>
      <c r="D137" s="4" t="s">
        <v>118</v>
      </c>
    </row>
    <row r="138" spans="2:17" ht="31.5">
      <c r="B138" s="78" t="s">
        <v>154</v>
      </c>
      <c r="C138" s="39">
        <f>IF(O107&lt;0,ABS(O107/C137),0)</f>
        <v>1763.575454545456</v>
      </c>
      <c r="D138" s="4" t="s">
        <v>104</v>
      </c>
      <c r="G138" s="180"/>
      <c r="H138" s="180"/>
      <c r="I138" s="180"/>
      <c r="J138" s="18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41821</v>
      </c>
      <c r="D139" s="39">
        <v>723</v>
      </c>
      <c r="N139" s="177"/>
      <c r="O139" s="177"/>
    </row>
    <row r="140" spans="3:15" ht="15.75">
      <c r="C140" s="120">
        <v>41817</v>
      </c>
      <c r="D140" s="39">
        <v>6214.2</v>
      </c>
      <c r="F140" s="4" t="s">
        <v>166</v>
      </c>
      <c r="G140" s="173" t="s">
        <v>151</v>
      </c>
      <c r="H140" s="173"/>
      <c r="I140" s="115">
        <f>'[1]залишки  (2)'!$G$9/1000</f>
        <v>13825.22196</v>
      </c>
      <c r="J140" s="174" t="s">
        <v>161</v>
      </c>
      <c r="K140" s="174"/>
      <c r="L140" s="174"/>
      <c r="M140" s="174"/>
      <c r="N140" s="177"/>
      <c r="O140" s="177"/>
    </row>
    <row r="141" spans="3:15" ht="15.75">
      <c r="C141" s="120">
        <v>41816</v>
      </c>
      <c r="D141" s="39">
        <v>4277.2</v>
      </c>
      <c r="G141" s="175" t="s">
        <v>155</v>
      </c>
      <c r="H141" s="175"/>
      <c r="I141" s="112">
        <v>0</v>
      </c>
      <c r="J141" s="176" t="s">
        <v>162</v>
      </c>
      <c r="K141" s="176"/>
      <c r="L141" s="176"/>
      <c r="M141" s="176"/>
      <c r="N141" s="177"/>
      <c r="O141" s="177"/>
    </row>
    <row r="142" spans="7:13" ht="15.75" customHeight="1">
      <c r="G142" s="173" t="s">
        <v>148</v>
      </c>
      <c r="H142" s="173"/>
      <c r="I142" s="112">
        <f>'[1]залишки  (2)'!$G$8/1000</f>
        <v>0</v>
      </c>
      <c r="J142" s="174" t="s">
        <v>163</v>
      </c>
      <c r="K142" s="174"/>
      <c r="L142" s="174"/>
      <c r="M142" s="174"/>
    </row>
    <row r="143" spans="2:13" ht="18.75" customHeight="1">
      <c r="B143" s="171" t="s">
        <v>160</v>
      </c>
      <c r="C143" s="172"/>
      <c r="D143" s="117">
        <f>'[1]залишки  (2)'!$G$6/1000</f>
        <v>115585.34867</v>
      </c>
      <c r="E143" s="80"/>
      <c r="F143" s="100" t="s">
        <v>147</v>
      </c>
      <c r="G143" s="173" t="s">
        <v>149</v>
      </c>
      <c r="H143" s="173"/>
      <c r="I143" s="116">
        <f>'[1]залишки  (2)'!$G$10/1000</f>
        <v>101760.12671000001</v>
      </c>
      <c r="J143" s="174" t="s">
        <v>164</v>
      </c>
      <c r="K143" s="174"/>
      <c r="L143" s="174"/>
      <c r="M143" s="174"/>
    </row>
    <row r="144" spans="7:12" ht="9.75" customHeight="1">
      <c r="G144" s="167"/>
      <c r="H144" s="167"/>
      <c r="I144" s="98"/>
      <c r="J144" s="99"/>
      <c r="K144" s="99"/>
      <c r="L144" s="99"/>
    </row>
    <row r="145" spans="2:12" ht="22.5" customHeight="1">
      <c r="B145" s="168" t="s">
        <v>169</v>
      </c>
      <c r="C145" s="169"/>
      <c r="D145" s="119">
        <f>'[1]надх'!$B$52/1000</f>
        <v>40638.96603999999</v>
      </c>
      <c r="E145" s="77" t="s">
        <v>104</v>
      </c>
      <c r="G145" s="167"/>
      <c r="H145" s="167"/>
      <c r="I145" s="98"/>
      <c r="J145" s="99"/>
      <c r="K145" s="99"/>
      <c r="L145" s="99"/>
    </row>
    <row r="146" spans="4:15" ht="15.75">
      <c r="D146" s="114"/>
      <c r="N146" s="167"/>
      <c r="O146" s="167"/>
    </row>
    <row r="147" spans="4:15" ht="15.75">
      <c r="D147" s="113"/>
      <c r="I147" s="39"/>
      <c r="N147" s="170"/>
      <c r="O147" s="170"/>
    </row>
    <row r="148" spans="14:15" ht="15.75">
      <c r="N148" s="167"/>
      <c r="O148" s="167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3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8" sqref="I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246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243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238</v>
      </c>
      <c r="H4" s="187" t="s">
        <v>239</v>
      </c>
      <c r="I4" s="183" t="s">
        <v>188</v>
      </c>
      <c r="J4" s="189" t="s">
        <v>189</v>
      </c>
      <c r="K4" s="178" t="s">
        <v>240</v>
      </c>
      <c r="L4" s="179"/>
      <c r="M4" s="202"/>
      <c r="N4" s="181" t="s">
        <v>247</v>
      </c>
      <c r="O4" s="183" t="s">
        <v>136</v>
      </c>
      <c r="P4" s="183" t="s">
        <v>135</v>
      </c>
      <c r="Q4" s="178" t="s">
        <v>242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237</v>
      </c>
      <c r="F5" s="205"/>
      <c r="G5" s="186"/>
      <c r="H5" s="188"/>
      <c r="I5" s="184"/>
      <c r="J5" s="190"/>
      <c r="K5" s="165"/>
      <c r="L5" s="166"/>
      <c r="M5" s="151" t="s">
        <v>241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828.87</v>
      </c>
      <c r="G29" s="49">
        <f t="shared" si="0"/>
        <v>66.26999999999998</v>
      </c>
      <c r="H29" s="40">
        <f t="shared" si="6"/>
        <v>108.69000786782061</v>
      </c>
      <c r="I29" s="56">
        <f t="shared" si="7"/>
        <v>-101.13</v>
      </c>
      <c r="J29" s="56">
        <f t="shared" si="8"/>
        <v>89.1258064516129</v>
      </c>
      <c r="K29" s="148">
        <f>F29-2001.3</f>
        <v>-1172.4299999999998</v>
      </c>
      <c r="L29" s="149">
        <f>F29/2001.3</f>
        <v>0.41416579223504724</v>
      </c>
      <c r="M29" s="146">
        <f>E29-травень!E29</f>
        <v>11</v>
      </c>
      <c r="N29" s="40">
        <f>F29-травень!F29</f>
        <v>23.210000000000036</v>
      </c>
      <c r="O29" s="148">
        <f t="shared" si="3"/>
        <v>12.210000000000036</v>
      </c>
      <c r="P29" s="145">
        <f t="shared" si="9"/>
        <v>211.00000000000034</v>
      </c>
      <c r="Q29" s="148">
        <f>N29-403.3</f>
        <v>-380.09</v>
      </c>
      <c r="R29" s="149">
        <f>N29/403.3</f>
        <v>0.05755021076122002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363.3</v>
      </c>
      <c r="G102" s="144"/>
      <c r="H102" s="146"/>
      <c r="I102" s="145"/>
      <c r="J102" s="145"/>
      <c r="K102" s="148">
        <f>F102-244.8</f>
        <v>118.5</v>
      </c>
      <c r="L102" s="149">
        <f>F102/244.8</f>
        <v>1.4840686274509804</v>
      </c>
      <c r="M102" s="40">
        <f>E102-травень!E102</f>
        <v>0</v>
      </c>
      <c r="N102" s="146">
        <f>F102-травень!F102</f>
        <v>72.10000000000002</v>
      </c>
      <c r="O102" s="53"/>
      <c r="P102" s="60"/>
      <c r="Q102" s="60">
        <f>N102-60.1</f>
        <v>12.000000000000021</v>
      </c>
      <c r="R102" s="138">
        <f>N102/60.1</f>
        <v>1.1996672212978372</v>
      </c>
    </row>
    <row r="103" spans="1:18" s="6" customFormat="1" ht="15.75">
      <c r="A103" s="8"/>
      <c r="B103" s="67" t="s">
        <v>100</v>
      </c>
      <c r="C103" s="223">
        <v>24060600</v>
      </c>
      <c r="D103" s="144"/>
      <c r="E103" s="144"/>
      <c r="F103" s="224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v>2488.2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0"/>
      <c r="H138" s="180"/>
      <c r="I138" s="180"/>
      <c r="J138" s="18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7"/>
      <c r="O139" s="177"/>
    </row>
    <row r="140" spans="3:15" ht="15.75">
      <c r="C140" s="120">
        <v>41816</v>
      </c>
      <c r="D140" s="39">
        <v>4277.2</v>
      </c>
      <c r="F140" s="4" t="s">
        <v>166</v>
      </c>
      <c r="G140" s="173" t="s">
        <v>151</v>
      </c>
      <c r="H140" s="173"/>
      <c r="I140" s="115">
        <f>'[1]залишки  (2)'!$G$9/1000</f>
        <v>13825.22196</v>
      </c>
      <c r="J140" s="174" t="s">
        <v>161</v>
      </c>
      <c r="K140" s="174"/>
      <c r="L140" s="174"/>
      <c r="M140" s="174"/>
      <c r="N140" s="177"/>
      <c r="O140" s="177"/>
    </row>
    <row r="141" spans="3:15" ht="15.75">
      <c r="C141" s="120">
        <v>41815</v>
      </c>
      <c r="D141" s="39">
        <v>1877.7</v>
      </c>
      <c r="G141" s="175" t="s">
        <v>155</v>
      </c>
      <c r="H141" s="175"/>
      <c r="I141" s="112">
        <v>0</v>
      </c>
      <c r="J141" s="176" t="s">
        <v>162</v>
      </c>
      <c r="K141" s="176"/>
      <c r="L141" s="176"/>
      <c r="M141" s="176"/>
      <c r="N141" s="177"/>
      <c r="O141" s="177"/>
    </row>
    <row r="142" spans="7:13" ht="15.75" customHeight="1">
      <c r="G142" s="173" t="s">
        <v>148</v>
      </c>
      <c r="H142" s="173"/>
      <c r="I142" s="112">
        <f>'[1]залишки  (2)'!$G$8/1000</f>
        <v>0</v>
      </c>
      <c r="J142" s="174" t="s">
        <v>163</v>
      </c>
      <c r="K142" s="174"/>
      <c r="L142" s="174"/>
      <c r="M142" s="174"/>
    </row>
    <row r="143" spans="2:13" ht="18.75" customHeight="1">
      <c r="B143" s="171" t="s">
        <v>160</v>
      </c>
      <c r="C143" s="172"/>
      <c r="D143" s="117">
        <v>117976.29</v>
      </c>
      <c r="E143" s="80"/>
      <c r="F143" s="100" t="s">
        <v>147</v>
      </c>
      <c r="G143" s="173" t="s">
        <v>149</v>
      </c>
      <c r="H143" s="173"/>
      <c r="I143" s="116">
        <v>104151.07</v>
      </c>
      <c r="J143" s="174" t="s">
        <v>164</v>
      </c>
      <c r="K143" s="174"/>
      <c r="L143" s="174"/>
      <c r="M143" s="174"/>
    </row>
    <row r="144" spans="7:12" ht="9.75" customHeight="1">
      <c r="G144" s="167"/>
      <c r="H144" s="167"/>
      <c r="I144" s="98"/>
      <c r="J144" s="99"/>
      <c r="K144" s="99"/>
      <c r="L144" s="99"/>
    </row>
    <row r="145" spans="2:12" ht="22.5" customHeight="1">
      <c r="B145" s="168" t="s">
        <v>169</v>
      </c>
      <c r="C145" s="169"/>
      <c r="D145" s="119">
        <v>41386</v>
      </c>
      <c r="E145" s="77" t="s">
        <v>104</v>
      </c>
      <c r="G145" s="167"/>
      <c r="H145" s="167"/>
      <c r="I145" s="98"/>
      <c r="J145" s="99"/>
      <c r="K145" s="99"/>
      <c r="L145" s="99"/>
    </row>
    <row r="146" spans="4:15" ht="15.75">
      <c r="D146" s="114"/>
      <c r="N146" s="167"/>
      <c r="O146" s="167"/>
    </row>
    <row r="147" spans="4:15" ht="15.75">
      <c r="D147" s="113"/>
      <c r="I147" s="39"/>
      <c r="N147" s="170"/>
      <c r="O147" s="170"/>
    </row>
    <row r="148" spans="14:15" ht="15.75">
      <c r="N148" s="167"/>
      <c r="O148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8" sqref="E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233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229</v>
      </c>
      <c r="H4" s="187" t="s">
        <v>230</v>
      </c>
      <c r="I4" s="183" t="s">
        <v>188</v>
      </c>
      <c r="J4" s="189" t="s">
        <v>189</v>
      </c>
      <c r="K4" s="178" t="s">
        <v>231</v>
      </c>
      <c r="L4" s="179"/>
      <c r="M4" s="202"/>
      <c r="N4" s="181" t="s">
        <v>236</v>
      </c>
      <c r="O4" s="183" t="s">
        <v>136</v>
      </c>
      <c r="P4" s="183" t="s">
        <v>135</v>
      </c>
      <c r="Q4" s="178" t="s">
        <v>234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228</v>
      </c>
      <c r="F5" s="205"/>
      <c r="G5" s="186"/>
      <c r="H5" s="188"/>
      <c r="I5" s="184"/>
      <c r="J5" s="190"/>
      <c r="K5" s="165"/>
      <c r="L5" s="166"/>
      <c r="M5" s="151" t="s">
        <v>232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7"/>
      <c r="O138" s="177"/>
    </row>
    <row r="139" spans="3:15" ht="15.75">
      <c r="C139" s="120">
        <v>41788</v>
      </c>
      <c r="D139" s="39">
        <v>5993.3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41787</v>
      </c>
      <c r="D140" s="39">
        <v>2595.2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118982.48</v>
      </c>
      <c r="E142" s="80"/>
      <c r="F142" s="100" t="s">
        <v>147</v>
      </c>
      <c r="G142" s="173" t="s">
        <v>149</v>
      </c>
      <c r="H142" s="173"/>
      <c r="I142" s="116">
        <v>105157.26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27359.4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9" sqref="F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221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217</v>
      </c>
      <c r="H4" s="187" t="s">
        <v>218</v>
      </c>
      <c r="I4" s="183" t="s">
        <v>188</v>
      </c>
      <c r="J4" s="189" t="s">
        <v>189</v>
      </c>
      <c r="K4" s="178" t="s">
        <v>219</v>
      </c>
      <c r="L4" s="179"/>
      <c r="M4" s="202"/>
      <c r="N4" s="181" t="s">
        <v>227</v>
      </c>
      <c r="O4" s="183" t="s">
        <v>136</v>
      </c>
      <c r="P4" s="183" t="s">
        <v>135</v>
      </c>
      <c r="Q4" s="178" t="s">
        <v>222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216</v>
      </c>
      <c r="F5" s="205"/>
      <c r="G5" s="186"/>
      <c r="H5" s="188"/>
      <c r="I5" s="184"/>
      <c r="J5" s="190"/>
      <c r="K5" s="165"/>
      <c r="L5" s="166"/>
      <c r="M5" s="151" t="s">
        <v>220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7"/>
      <c r="O138" s="177"/>
    </row>
    <row r="139" spans="3:15" ht="15.75">
      <c r="C139" s="120">
        <v>41758</v>
      </c>
      <c r="D139" s="39">
        <v>5440.9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41757</v>
      </c>
      <c r="D140" s="39">
        <v>1923.2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123251.48</v>
      </c>
      <c r="E142" s="80"/>
      <c r="F142" s="100" t="s">
        <v>147</v>
      </c>
      <c r="G142" s="173" t="s">
        <v>149</v>
      </c>
      <c r="H142" s="173"/>
      <c r="I142" s="116">
        <v>109426.25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40638.96603999999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208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210</v>
      </c>
      <c r="N3" s="203" t="s">
        <v>198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207</v>
      </c>
      <c r="H4" s="187" t="s">
        <v>195</v>
      </c>
      <c r="I4" s="183" t="s">
        <v>188</v>
      </c>
      <c r="J4" s="189" t="s">
        <v>189</v>
      </c>
      <c r="K4" s="178" t="s">
        <v>196</v>
      </c>
      <c r="L4" s="179"/>
      <c r="M4" s="202"/>
      <c r="N4" s="181" t="s">
        <v>213</v>
      </c>
      <c r="O4" s="183" t="s">
        <v>136</v>
      </c>
      <c r="P4" s="183" t="s">
        <v>135</v>
      </c>
      <c r="Q4" s="178" t="s">
        <v>197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214</v>
      </c>
      <c r="F5" s="205"/>
      <c r="G5" s="186"/>
      <c r="H5" s="188"/>
      <c r="I5" s="184"/>
      <c r="J5" s="190"/>
      <c r="K5" s="165"/>
      <c r="L5" s="166"/>
      <c r="M5" s="151" t="s">
        <v>211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7"/>
      <c r="O138" s="177"/>
    </row>
    <row r="139" spans="3:15" ht="15.75">
      <c r="C139" s="120">
        <v>41726</v>
      </c>
      <c r="D139" s="39">
        <v>4682.6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41725</v>
      </c>
      <c r="D140" s="39">
        <v>3360.7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114985.02570999999</v>
      </c>
      <c r="E142" s="80"/>
      <c r="F142" s="100" t="s">
        <v>147</v>
      </c>
      <c r="G142" s="173" t="s">
        <v>149</v>
      </c>
      <c r="H142" s="173"/>
      <c r="I142" s="116">
        <v>101159.80375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3918.1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1" t="s">
        <v>193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187</v>
      </c>
      <c r="E3" s="46"/>
      <c r="F3" s="216" t="s">
        <v>107</v>
      </c>
      <c r="G3" s="217"/>
      <c r="H3" s="217"/>
      <c r="I3" s="217"/>
      <c r="J3" s="218"/>
      <c r="K3" s="123"/>
      <c r="L3" s="123"/>
      <c r="M3" s="219" t="s">
        <v>190</v>
      </c>
      <c r="N3" s="210" t="s">
        <v>185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191</v>
      </c>
      <c r="F4" s="211" t="s">
        <v>116</v>
      </c>
      <c r="G4" s="213" t="s">
        <v>167</v>
      </c>
      <c r="H4" s="187" t="s">
        <v>168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19"/>
      <c r="N4" s="181" t="s">
        <v>194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184</v>
      </c>
      <c r="L5" s="166"/>
      <c r="M5" s="219"/>
      <c r="N5" s="182"/>
      <c r="O5" s="209"/>
      <c r="P5" s="210"/>
      <c r="Q5" s="165" t="s">
        <v>199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7"/>
      <c r="O138" s="177"/>
    </row>
    <row r="139" spans="3:15" ht="15.75">
      <c r="C139" s="120">
        <v>41697</v>
      </c>
      <c r="D139" s="39">
        <v>2276.8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41696</v>
      </c>
      <c r="D140" s="39">
        <v>3746.1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121970.53</v>
      </c>
      <c r="E142" s="80"/>
      <c r="F142" s="100" t="s">
        <v>147</v>
      </c>
      <c r="G142" s="173" t="s">
        <v>149</v>
      </c>
      <c r="H142" s="173"/>
      <c r="I142" s="116">
        <v>108145.31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1" t="s">
        <v>183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192</v>
      </c>
      <c r="E3" s="46"/>
      <c r="F3" s="216" t="s">
        <v>107</v>
      </c>
      <c r="G3" s="217"/>
      <c r="H3" s="217"/>
      <c r="I3" s="217"/>
      <c r="J3" s="218"/>
      <c r="K3" s="123"/>
      <c r="L3" s="123"/>
      <c r="M3" s="189" t="s">
        <v>200</v>
      </c>
      <c r="N3" s="210" t="s">
        <v>178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153</v>
      </c>
      <c r="F4" s="211" t="s">
        <v>116</v>
      </c>
      <c r="G4" s="213" t="s">
        <v>175</v>
      </c>
      <c r="H4" s="187" t="s">
        <v>176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22"/>
      <c r="N4" s="181" t="s">
        <v>186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177</v>
      </c>
      <c r="L5" s="166"/>
      <c r="M5" s="190"/>
      <c r="N5" s="182"/>
      <c r="O5" s="209"/>
      <c r="P5" s="210"/>
      <c r="Q5" s="165" t="s">
        <v>179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7"/>
      <c r="O138" s="177"/>
    </row>
    <row r="139" spans="3:15" ht="15.75">
      <c r="C139" s="120">
        <v>41669</v>
      </c>
      <c r="D139" s="39">
        <v>4752.2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41668</v>
      </c>
      <c r="D140" s="39">
        <v>1984.7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111410.62</v>
      </c>
      <c r="E142" s="80"/>
      <c r="F142" s="100" t="s">
        <v>147</v>
      </c>
      <c r="G142" s="173" t="s">
        <v>149</v>
      </c>
      <c r="H142" s="173"/>
      <c r="I142" s="116">
        <v>97585.4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2014-07-02T13:42:26Z</cp:lastPrinted>
  <dcterms:created xsi:type="dcterms:W3CDTF">2003-07-28T11:27:56Z</dcterms:created>
  <dcterms:modified xsi:type="dcterms:W3CDTF">2014-07-02T13:43:23Z</dcterms:modified>
  <cp:category/>
  <cp:version/>
  <cp:contentType/>
  <cp:contentStatus/>
</cp:coreProperties>
</file>